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0" windowWidth="19095" windowHeight="8415"/>
  </bookViews>
  <sheets>
    <sheet name="Berkshire Hathaway Holdings" sheetId="1" r:id="rId1"/>
  </sheets>
  <calcPr calcId="125725"/>
  <smartTagPr embed="1"/>
</workbook>
</file>

<file path=xl/calcChain.xml><?xml version="1.0" encoding="utf-8"?>
<calcChain xmlns="http://schemas.openxmlformats.org/spreadsheetml/2006/main">
  <c r="L2" i="1"/>
  <c r="K2"/>
  <c r="J2"/>
  <c r="E4"/>
  <c r="L5"/>
  <c r="K5"/>
  <c r="J7"/>
  <c r="L3"/>
  <c r="L4"/>
  <c r="L7"/>
  <c r="L10"/>
  <c r="L11"/>
  <c r="L12"/>
  <c r="L13"/>
  <c r="L14"/>
  <c r="L15"/>
  <c r="L16"/>
  <c r="L18"/>
  <c r="L21"/>
  <c r="L24"/>
  <c r="L25"/>
  <c r="L26"/>
  <c r="L27"/>
  <c r="L33"/>
  <c r="L35"/>
  <c r="L36"/>
  <c r="L37"/>
  <c r="L41"/>
  <c r="L42"/>
  <c r="K3"/>
  <c r="K4"/>
  <c r="K7"/>
  <c r="K10"/>
  <c r="K11"/>
  <c r="K12"/>
  <c r="K13"/>
  <c r="K14"/>
  <c r="K15"/>
  <c r="K16"/>
  <c r="K18"/>
  <c r="K21"/>
  <c r="K24"/>
  <c r="K25"/>
  <c r="K26"/>
  <c r="K27"/>
  <c r="K33"/>
  <c r="K35"/>
  <c r="K36"/>
  <c r="K37"/>
  <c r="K41"/>
  <c r="K42"/>
  <c r="J3"/>
  <c r="J4"/>
  <c r="J5"/>
  <c r="J11"/>
  <c r="J12"/>
  <c r="J13"/>
  <c r="J14"/>
  <c r="J15"/>
  <c r="J16"/>
  <c r="J17"/>
  <c r="J18"/>
  <c r="J21"/>
  <c r="J24"/>
  <c r="J25"/>
  <c r="J26"/>
  <c r="J27"/>
  <c r="J28"/>
  <c r="J33"/>
  <c r="J34"/>
  <c r="J35"/>
  <c r="J36"/>
  <c r="J37"/>
  <c r="J41"/>
  <c r="J42"/>
  <c r="D40"/>
  <c r="L40" s="1"/>
  <c r="D39"/>
  <c r="D38"/>
  <c r="L38" s="1"/>
  <c r="D34"/>
  <c r="L34" s="1"/>
  <c r="C32"/>
  <c r="J32" s="1"/>
  <c r="D32"/>
  <c r="L32" s="1"/>
  <c r="C31"/>
  <c r="J31" s="1"/>
  <c r="D31"/>
  <c r="L31" s="1"/>
  <c r="D30"/>
  <c r="L30" s="1"/>
  <c r="C29"/>
  <c r="D29"/>
  <c r="K29" s="1"/>
  <c r="D28"/>
  <c r="E28" s="1"/>
  <c r="F28" s="1"/>
  <c r="D23"/>
  <c r="L23" s="1"/>
  <c r="D22"/>
  <c r="D20"/>
  <c r="L20" s="1"/>
  <c r="D19"/>
  <c r="D17"/>
  <c r="K17" s="1"/>
  <c r="D9"/>
  <c r="D8"/>
  <c r="L8" s="1"/>
  <c r="D6"/>
  <c r="L6" s="1"/>
  <c r="E3"/>
  <c r="F3" s="1"/>
  <c r="F4"/>
  <c r="E5"/>
  <c r="F5" s="1"/>
  <c r="E7"/>
  <c r="F7" s="1"/>
  <c r="E11"/>
  <c r="F11" s="1"/>
  <c r="E12"/>
  <c r="F12" s="1"/>
  <c r="E13"/>
  <c r="F13" s="1"/>
  <c r="E14"/>
  <c r="F14" s="1"/>
  <c r="E15"/>
  <c r="F15" s="1"/>
  <c r="E16"/>
  <c r="F16" s="1"/>
  <c r="E17"/>
  <c r="F17" s="1"/>
  <c r="E18"/>
  <c r="F18" s="1"/>
  <c r="E21"/>
  <c r="F21" s="1"/>
  <c r="E24"/>
  <c r="F24" s="1"/>
  <c r="E25"/>
  <c r="F25" s="1"/>
  <c r="E26"/>
  <c r="F26" s="1"/>
  <c r="E27"/>
  <c r="F27" s="1"/>
  <c r="E32"/>
  <c r="F32" s="1"/>
  <c r="E33"/>
  <c r="F33" s="1"/>
  <c r="E34"/>
  <c r="F34" s="1"/>
  <c r="E35"/>
  <c r="F35" s="1"/>
  <c r="E36"/>
  <c r="F36" s="1"/>
  <c r="E37"/>
  <c r="F37" s="1"/>
  <c r="E41"/>
  <c r="F41" s="1"/>
  <c r="E42"/>
  <c r="F42" s="1"/>
  <c r="D2"/>
  <c r="C40"/>
  <c r="J40" s="1"/>
  <c r="C39"/>
  <c r="J39" s="1"/>
  <c r="C38"/>
  <c r="J38" s="1"/>
  <c r="C30"/>
  <c r="J30" s="1"/>
  <c r="C23"/>
  <c r="J23" s="1"/>
  <c r="C22"/>
  <c r="J22" s="1"/>
  <c r="C20"/>
  <c r="J20" s="1"/>
  <c r="C19"/>
  <c r="J19" s="1"/>
  <c r="C10"/>
  <c r="J10" s="1"/>
  <c r="C9"/>
  <c r="J9" s="1"/>
  <c r="C8"/>
  <c r="J8" s="1"/>
  <c r="C6"/>
  <c r="J6" s="1"/>
  <c r="C2"/>
  <c r="E29" l="1"/>
  <c r="F29" s="1"/>
  <c r="M5"/>
  <c r="K23"/>
  <c r="M23" s="1"/>
  <c r="L29"/>
  <c r="M29" s="1"/>
  <c r="L17"/>
  <c r="E6"/>
  <c r="F6" s="1"/>
  <c r="E9"/>
  <c r="F9" s="1"/>
  <c r="E19"/>
  <c r="F19" s="1"/>
  <c r="E22"/>
  <c r="F22" s="1"/>
  <c r="E39"/>
  <c r="F39" s="1"/>
  <c r="J29"/>
  <c r="J44" s="1"/>
  <c r="M2"/>
  <c r="K39"/>
  <c r="K31"/>
  <c r="K19"/>
  <c r="K9"/>
  <c r="L39"/>
  <c r="M39" s="1"/>
  <c r="L19"/>
  <c r="L9"/>
  <c r="K40"/>
  <c r="M40" s="1"/>
  <c r="K38"/>
  <c r="K34"/>
  <c r="M34" s="1"/>
  <c r="K32"/>
  <c r="K30"/>
  <c r="M30" s="1"/>
  <c r="K28"/>
  <c r="K22"/>
  <c r="M22" s="1"/>
  <c r="K20"/>
  <c r="K8"/>
  <c r="K6"/>
  <c r="L28"/>
  <c r="M28" s="1"/>
  <c r="L22"/>
  <c r="M41"/>
  <c r="M37"/>
  <c r="M35"/>
  <c r="M33"/>
  <c r="M31"/>
  <c r="M27"/>
  <c r="M25"/>
  <c r="M21"/>
  <c r="M17"/>
  <c r="M15"/>
  <c r="M13"/>
  <c r="M11"/>
  <c r="M7"/>
  <c r="M4"/>
  <c r="M42"/>
  <c r="M38"/>
  <c r="M36"/>
  <c r="M32"/>
  <c r="M26"/>
  <c r="M24"/>
  <c r="M20"/>
  <c r="M18"/>
  <c r="M16"/>
  <c r="M14"/>
  <c r="M12"/>
  <c r="M10"/>
  <c r="M8"/>
  <c r="M6"/>
  <c r="M3"/>
  <c r="E2"/>
  <c r="F2" s="1"/>
  <c r="E38"/>
  <c r="F38" s="1"/>
  <c r="E23"/>
  <c r="F23" s="1"/>
  <c r="E10"/>
  <c r="F10" s="1"/>
  <c r="E8"/>
  <c r="F8" s="1"/>
  <c r="E30"/>
  <c r="F30" s="1"/>
  <c r="E20"/>
  <c r="F20" s="1"/>
  <c r="E31"/>
  <c r="F31" s="1"/>
  <c r="E40"/>
  <c r="F40" s="1"/>
  <c r="M9" l="1"/>
  <c r="M19"/>
  <c r="K44"/>
  <c r="L44"/>
  <c r="M44" l="1"/>
</calcChain>
</file>

<file path=xl/sharedStrings.xml><?xml version="1.0" encoding="utf-8"?>
<sst xmlns="http://schemas.openxmlformats.org/spreadsheetml/2006/main" count="100" uniqueCount="100">
  <si>
    <t>Holding</t>
  </si>
  <si>
    <t>Ticker</t>
  </si>
  <si>
    <t>American Express</t>
  </si>
  <si>
    <t>AXP</t>
  </si>
  <si>
    <t>Bank of America</t>
  </si>
  <si>
    <t>BAC</t>
  </si>
  <si>
    <t>Costco</t>
  </si>
  <si>
    <t>Iron Mountain</t>
  </si>
  <si>
    <t>Lowes Companies</t>
  </si>
  <si>
    <t>Nalco Holding</t>
  </si>
  <si>
    <t>Union Pacific</t>
  </si>
  <si>
    <t>Wabco Holdings</t>
  </si>
  <si>
    <t>Washington Post</t>
  </si>
  <si>
    <t>Burlington Northern Santa Fe</t>
  </si>
  <si>
    <t>CarMax</t>
  </si>
  <si>
    <t>Coca Cola</t>
  </si>
  <si>
    <t>Comcast</t>
  </si>
  <si>
    <t>Comdisco Holding Co</t>
  </si>
  <si>
    <t>Conoco Phillips</t>
  </si>
  <si>
    <t>Constellation Energy</t>
  </si>
  <si>
    <t>Eaton Corporation</t>
  </si>
  <si>
    <t>Gannett Inc</t>
  </si>
  <si>
    <t>General Electric</t>
  </si>
  <si>
    <t>GlaxoSmithKline</t>
  </si>
  <si>
    <t>Home Depot</t>
  </si>
  <si>
    <t>Ingersoll Rand</t>
  </si>
  <si>
    <t>Johnson &amp; Johnson</t>
  </si>
  <si>
    <t>Kraft Foods Inc</t>
  </si>
  <si>
    <t>M&amp;T Bank</t>
  </si>
  <si>
    <t>Moodys</t>
  </si>
  <si>
    <t>NRG Energy Inc</t>
  </si>
  <si>
    <t>Nike</t>
  </si>
  <si>
    <t>Norfolk Southern</t>
  </si>
  <si>
    <t>Proctor &amp; Gamble</t>
  </si>
  <si>
    <t>Sun Trust Banks</t>
  </si>
  <si>
    <t>Torchmark Corp.</t>
  </si>
  <si>
    <t>US Bancorp</t>
  </si>
  <si>
    <t>USG Corporation</t>
  </si>
  <si>
    <t>United Parcel Service</t>
  </si>
  <si>
    <t>United Health Group</t>
  </si>
  <si>
    <t>Wal Mart</t>
  </si>
  <si>
    <t>Wells Fargo</t>
  </si>
  <si>
    <t>Wellpoint Inc</t>
  </si>
  <si>
    <t>Wesco Financial</t>
  </si>
  <si>
    <t>BNI</t>
  </si>
  <si>
    <t>KMX</t>
  </si>
  <si>
    <t>KO</t>
  </si>
  <si>
    <t>CDCO.OB</t>
  </si>
  <si>
    <t>COP</t>
  </si>
  <si>
    <t>CEG</t>
  </si>
  <si>
    <t>COST</t>
  </si>
  <si>
    <t>ETN</t>
  </si>
  <si>
    <t>GCI</t>
  </si>
  <si>
    <t>GE</t>
  </si>
  <si>
    <t>GSK</t>
  </si>
  <si>
    <t>HD</t>
  </si>
  <si>
    <t>IR</t>
  </si>
  <si>
    <t>IRM</t>
  </si>
  <si>
    <t>JNJ</t>
  </si>
  <si>
    <t>KFT</t>
  </si>
  <si>
    <t>MTB</t>
  </si>
  <si>
    <t>MCO</t>
  </si>
  <si>
    <t>NRG</t>
  </si>
  <si>
    <t>NLC</t>
  </si>
  <si>
    <t>NKE</t>
  </si>
  <si>
    <t>NSC</t>
  </si>
  <si>
    <t>PG</t>
  </si>
  <si>
    <t>STI</t>
  </si>
  <si>
    <t>TMK</t>
  </si>
  <si>
    <t>USB</t>
  </si>
  <si>
    <t>USG</t>
  </si>
  <si>
    <t>UNP</t>
  </si>
  <si>
    <t>UPS</t>
  </si>
  <si>
    <t>UNH</t>
  </si>
  <si>
    <t>WBC</t>
  </si>
  <si>
    <t>WMT</t>
  </si>
  <si>
    <t>WPO</t>
  </si>
  <si>
    <t>WFC</t>
  </si>
  <si>
    <t>WLP</t>
  </si>
  <si>
    <t>WSC</t>
  </si>
  <si>
    <t>GRAND TOTAL</t>
  </si>
  <si>
    <t>CMCSK</t>
  </si>
  <si>
    <t>LOW</t>
  </si>
  <si>
    <t>Sanofi Aventis</t>
  </si>
  <si>
    <t>SNY</t>
  </si>
  <si>
    <t>Shares At 12/31/2008</t>
  </si>
  <si>
    <t>Shares At 3/31/2009</t>
  </si>
  <si>
    <t>Quote 3/31/2009</t>
  </si>
  <si>
    <t>Quote 5/15/2009</t>
  </si>
  <si>
    <t>Market Value
5/15/09</t>
  </si>
  <si>
    <t>Share Count Change In Q1</t>
  </si>
  <si>
    <t>Market Value 3/31/09</t>
  </si>
  <si>
    <t>Quote 
12/31/2008</t>
  </si>
  <si>
    <t>Share Count % Change</t>
  </si>
  <si>
    <t>Market Value 
12/31/08</t>
  </si>
  <si>
    <t xml:space="preserve">       12/31/08 13F Grand Total (in thousands):  $51,869,961;  3/31/09 13F Grand Total (in thousands):  $40,871,225</t>
  </si>
  <si>
    <t>% Change Q2
To Date</t>
  </si>
  <si>
    <t>Note:  Grand Totals for 12/31/08 and 3/31/09 do not exactly add up to 13F Grand Totals due to rounding in the 13F report (to 000s).  Difference is not material.</t>
  </si>
  <si>
    <t xml:space="preserve">       Each position is rounded to '000, and the sum of all positions is used to arrive at the Grand Total.   This introduces rounding errors compared to keeping</t>
  </si>
  <si>
    <t xml:space="preserve">       full precision for each position and summing these positions.  The rounding differences are not material to the presentation.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</si>
</sst>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7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8"/>
      <name val="Calibri"/>
      <family val="2"/>
    </font>
    <font>
      <sz val="8"/>
      <color indexed="8"/>
      <name val="Courier New"/>
      <family val="3"/>
    </font>
    <font>
      <sz val="8"/>
      <color theme="1"/>
      <name val="Courier New"/>
      <family val="3"/>
    </font>
    <font>
      <b/>
      <sz val="8"/>
      <color indexed="8"/>
      <name val="Courier New"/>
      <family val="3"/>
    </font>
    <font>
      <i/>
      <sz val="8"/>
      <color indexed="8"/>
      <name val="Courier New"/>
      <family val="3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1">
    <xf numFmtId="0" fontId="0" fillId="0" borderId="0" xfId="0"/>
    <xf numFmtId="0" fontId="3" fillId="2" borderId="0" xfId="0" applyFont="1" applyFill="1" applyBorder="1" applyAlignment="1">
      <alignment horizontal="center" vertical="top" wrapText="1"/>
    </xf>
    <xf numFmtId="164" fontId="3" fillId="2" borderId="0" xfId="1" applyNumberFormat="1" applyFont="1" applyFill="1" applyBorder="1" applyAlignment="1">
      <alignment horizontal="center" vertical="top" wrapText="1"/>
    </xf>
    <xf numFmtId="43" fontId="3" fillId="2" borderId="0" xfId="1" applyFont="1" applyFill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/>
    <xf numFmtId="164" fontId="3" fillId="0" borderId="0" xfId="1" applyNumberFormat="1" applyFont="1" applyBorder="1"/>
    <xf numFmtId="165" fontId="3" fillId="0" borderId="0" xfId="2" applyNumberFormat="1" applyFont="1" applyBorder="1"/>
    <xf numFmtId="43" fontId="3" fillId="0" borderId="0" xfId="1" applyFont="1" applyBorder="1"/>
    <xf numFmtId="4" fontId="3" fillId="0" borderId="0" xfId="1" applyNumberFormat="1" applyFont="1" applyBorder="1"/>
    <xf numFmtId="43" fontId="4" fillId="0" borderId="0" xfId="1" applyFont="1" applyBorder="1"/>
    <xf numFmtId="0" fontId="5" fillId="0" borderId="0" xfId="0" applyFont="1" applyBorder="1"/>
    <xf numFmtId="164" fontId="5" fillId="0" borderId="0" xfId="1" applyNumberFormat="1" applyFont="1" applyBorder="1"/>
    <xf numFmtId="43" fontId="5" fillId="0" borderId="0" xfId="1" applyFont="1" applyBorder="1"/>
    <xf numFmtId="165" fontId="3" fillId="2" borderId="0" xfId="2" applyNumberFormat="1" applyFont="1" applyFill="1" applyBorder="1" applyAlignment="1">
      <alignment horizontal="center" vertical="top" wrapText="1"/>
    </xf>
    <xf numFmtId="164" fontId="3" fillId="0" borderId="0" xfId="1" applyNumberFormat="1" applyFont="1" applyBorder="1" applyAlignment="1">
      <alignment horizontal="center" vertical="top" wrapText="1"/>
    </xf>
    <xf numFmtId="0" fontId="3" fillId="0" borderId="0" xfId="0" applyFont="1" applyFill="1" applyBorder="1"/>
    <xf numFmtId="0" fontId="6" fillId="0" borderId="0" xfId="0" applyFont="1" applyBorder="1"/>
    <xf numFmtId="164" fontId="6" fillId="0" borderId="0" xfId="1" applyNumberFormat="1" applyFont="1" applyBorder="1"/>
    <xf numFmtId="43" fontId="6" fillId="0" borderId="0" xfId="1" applyFont="1" applyBorder="1"/>
    <xf numFmtId="165" fontId="6" fillId="0" borderId="0" xfId="2" applyNumberFormat="1" applyFont="1" applyBorder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9"/>
  <sheetViews>
    <sheetView tabSelected="1" zoomScaleNormal="100" workbookViewId="0">
      <selection activeCell="L3" sqref="L3"/>
    </sheetView>
  </sheetViews>
  <sheetFormatPr defaultColWidth="23.140625" defaultRowHeight="11.25"/>
  <cols>
    <col min="1" max="1" width="29.7109375" style="5" bestFit="1" customWidth="1"/>
    <col min="2" max="2" width="8" style="5" bestFit="1" customWidth="1"/>
    <col min="3" max="4" width="14.140625" style="6" bestFit="1" customWidth="1"/>
    <col min="5" max="5" width="13.140625" style="6" bestFit="1" customWidth="1"/>
    <col min="6" max="6" width="15.140625" style="6" bestFit="1" customWidth="1"/>
    <col min="7" max="7" width="11" style="8" bestFit="1" customWidth="1"/>
    <col min="8" max="9" width="10" style="8" bestFit="1" customWidth="1"/>
    <col min="10" max="12" width="17.28515625" style="6" bestFit="1" customWidth="1"/>
    <col min="13" max="13" width="12" style="7" bestFit="1" customWidth="1"/>
    <col min="14" max="14" width="23.140625" style="6"/>
    <col min="15" max="16384" width="23.140625" style="5"/>
  </cols>
  <sheetData>
    <row r="1" spans="1:14" s="4" customFormat="1" ht="22.5">
      <c r="A1" s="1" t="s">
        <v>0</v>
      </c>
      <c r="B1" s="1" t="s">
        <v>1</v>
      </c>
      <c r="C1" s="2" t="s">
        <v>85</v>
      </c>
      <c r="D1" s="2" t="s">
        <v>86</v>
      </c>
      <c r="E1" s="2" t="s">
        <v>90</v>
      </c>
      <c r="F1" s="2" t="s">
        <v>93</v>
      </c>
      <c r="G1" s="3" t="s">
        <v>92</v>
      </c>
      <c r="H1" s="3" t="s">
        <v>87</v>
      </c>
      <c r="I1" s="3" t="s">
        <v>88</v>
      </c>
      <c r="J1" s="2" t="s">
        <v>94</v>
      </c>
      <c r="K1" s="2" t="s">
        <v>91</v>
      </c>
      <c r="L1" s="2" t="s">
        <v>89</v>
      </c>
      <c r="M1" s="14" t="s">
        <v>96</v>
      </c>
      <c r="N1" s="15"/>
    </row>
    <row r="2" spans="1:14">
      <c r="A2" s="5" t="s">
        <v>2</v>
      </c>
      <c r="B2" s="5" t="s">
        <v>3</v>
      </c>
      <c r="C2" s="6">
        <f>17225400+7994634+120255879+1943100+1399713+839832+1952142</f>
        <v>151610700</v>
      </c>
      <c r="D2" s="6">
        <f>17225400+7994634+120255879+1943100+1399713+839832+1952142</f>
        <v>151610700</v>
      </c>
      <c r="E2" s="6">
        <f>D2-C2</f>
        <v>0</v>
      </c>
      <c r="F2" s="7">
        <f>E2/C2</f>
        <v>0</v>
      </c>
      <c r="G2" s="8">
        <v>18.55</v>
      </c>
      <c r="H2" s="10">
        <v>13.63</v>
      </c>
      <c r="I2" s="9">
        <v>24.23</v>
      </c>
      <c r="J2" s="6">
        <f>C2*G2</f>
        <v>2812378485</v>
      </c>
      <c r="K2" s="6">
        <f>D2*H2</f>
        <v>2066453841</v>
      </c>
      <c r="L2" s="6">
        <f>I2*D2</f>
        <v>3673527261</v>
      </c>
      <c r="M2" s="7">
        <f>(L2/K2)-1</f>
        <v>0.7776962582538518</v>
      </c>
    </row>
    <row r="3" spans="1:14">
      <c r="A3" s="16" t="s">
        <v>4</v>
      </c>
      <c r="B3" s="5" t="s">
        <v>5</v>
      </c>
      <c r="C3" s="6">
        <v>5000000</v>
      </c>
      <c r="D3" s="6">
        <v>5000000</v>
      </c>
      <c r="E3" s="6">
        <f t="shared" ref="E3:E42" si="0">D3-C3</f>
        <v>0</v>
      </c>
      <c r="F3" s="7">
        <f t="shared" ref="F3:F42" si="1">E3/C3</f>
        <v>0</v>
      </c>
      <c r="G3" s="8">
        <v>14.08</v>
      </c>
      <c r="H3" s="10">
        <v>6.82</v>
      </c>
      <c r="I3" s="9">
        <v>10.67</v>
      </c>
      <c r="J3" s="6">
        <f>C3*G3</f>
        <v>70400000</v>
      </c>
      <c r="K3" s="6">
        <f>D3*H3</f>
        <v>34100000</v>
      </c>
      <c r="L3" s="6">
        <f>I3*D3</f>
        <v>53350000</v>
      </c>
      <c r="M3" s="7">
        <f t="shared" ref="M3:M44" si="2">(L3/K3)-1</f>
        <v>0.56451612903225801</v>
      </c>
    </row>
    <row r="4" spans="1:14">
      <c r="A4" s="5" t="s">
        <v>13</v>
      </c>
      <c r="B4" s="5" t="s">
        <v>44</v>
      </c>
      <c r="C4" s="6">
        <v>70089829</v>
      </c>
      <c r="D4" s="6">
        <v>76777029</v>
      </c>
      <c r="E4" s="6">
        <f>D4-C4</f>
        <v>6687200</v>
      </c>
      <c r="F4" s="7">
        <f t="shared" si="1"/>
        <v>9.5408992936764053E-2</v>
      </c>
      <c r="G4" s="8">
        <v>75.709999999999994</v>
      </c>
      <c r="H4" s="10">
        <v>60.15</v>
      </c>
      <c r="I4" s="9">
        <v>67.14</v>
      </c>
      <c r="J4" s="6">
        <f>C4*G4</f>
        <v>5306500953.5899992</v>
      </c>
      <c r="K4" s="6">
        <f>D4*H4</f>
        <v>4618138294.3499994</v>
      </c>
      <c r="L4" s="6">
        <f>I4*D4</f>
        <v>5154809727.0600004</v>
      </c>
      <c r="M4" s="7">
        <f t="shared" si="2"/>
        <v>0.11620947630922718</v>
      </c>
    </row>
    <row r="5" spans="1:14">
      <c r="A5" s="5" t="s">
        <v>14</v>
      </c>
      <c r="B5" s="5" t="s">
        <v>45</v>
      </c>
      <c r="C5" s="6">
        <v>17636500</v>
      </c>
      <c r="D5" s="6">
        <v>12000000</v>
      </c>
      <c r="E5" s="6">
        <f t="shared" si="0"/>
        <v>-5636500</v>
      </c>
      <c r="F5" s="7">
        <f t="shared" si="1"/>
        <v>-0.31959288974569783</v>
      </c>
      <c r="G5" s="8">
        <v>7.88</v>
      </c>
      <c r="H5" s="10">
        <v>12.44</v>
      </c>
      <c r="I5" s="9">
        <v>10.53</v>
      </c>
      <c r="J5" s="6">
        <f>C5*G5</f>
        <v>138975620</v>
      </c>
      <c r="K5" s="6">
        <f>D5*H5</f>
        <v>149280000</v>
      </c>
      <c r="L5" s="6">
        <f>I5*D5</f>
        <v>126359999.99999999</v>
      </c>
      <c r="M5" s="7">
        <f t="shared" si="2"/>
        <v>-0.15353697749196149</v>
      </c>
    </row>
    <row r="6" spans="1:14">
      <c r="A6" s="5" t="s">
        <v>15</v>
      </c>
      <c r="B6" s="5" t="s">
        <v>46</v>
      </c>
      <c r="C6" s="6">
        <f>400000+1776000+7205600+40141600+139945600+9139200+480000+912000</f>
        <v>200000000</v>
      </c>
      <c r="D6" s="6">
        <f>400000+1776000+7205600+40141600+139945600+9139200+480000+912000</f>
        <v>200000000</v>
      </c>
      <c r="E6" s="6">
        <f t="shared" si="0"/>
        <v>0</v>
      </c>
      <c r="F6" s="7">
        <f t="shared" si="1"/>
        <v>0</v>
      </c>
      <c r="G6" s="8">
        <v>45.27</v>
      </c>
      <c r="H6" s="10">
        <v>43.95</v>
      </c>
      <c r="I6" s="9">
        <v>44.96</v>
      </c>
      <c r="J6" s="6">
        <f>C6*G6</f>
        <v>9054000000</v>
      </c>
      <c r="K6" s="6">
        <f>D6*H6</f>
        <v>8790000000</v>
      </c>
      <c r="L6" s="6">
        <f>I6*D6</f>
        <v>8992000000</v>
      </c>
      <c r="M6" s="7">
        <f t="shared" si="2"/>
        <v>2.2980659840728057E-2</v>
      </c>
    </row>
    <row r="7" spans="1:14">
      <c r="A7" s="5" t="s">
        <v>16</v>
      </c>
      <c r="B7" s="5" t="s">
        <v>81</v>
      </c>
      <c r="C7" s="6">
        <v>12000000</v>
      </c>
      <c r="D7" s="6">
        <v>12000000</v>
      </c>
      <c r="E7" s="6">
        <f t="shared" si="0"/>
        <v>0</v>
      </c>
      <c r="F7" s="7">
        <f t="shared" si="1"/>
        <v>0</v>
      </c>
      <c r="G7" s="8">
        <v>16.149999999999999</v>
      </c>
      <c r="H7" s="10">
        <v>12.87</v>
      </c>
      <c r="I7" s="9">
        <v>13.5</v>
      </c>
      <c r="J7" s="6">
        <f>C7*G7</f>
        <v>193799999.99999997</v>
      </c>
      <c r="K7" s="6">
        <f>D7*H7</f>
        <v>154440000</v>
      </c>
      <c r="L7" s="6">
        <f>I7*D7</f>
        <v>162000000</v>
      </c>
      <c r="M7" s="7">
        <f t="shared" si="2"/>
        <v>4.8951048951048959E-2</v>
      </c>
    </row>
    <row r="8" spans="1:14">
      <c r="A8" s="5" t="s">
        <v>17</v>
      </c>
      <c r="B8" s="5" t="s">
        <v>47</v>
      </c>
      <c r="C8" s="6">
        <f>1218199+302963+17215</f>
        <v>1538377</v>
      </c>
      <c r="D8" s="6">
        <f>1218199+302963+17215</f>
        <v>1538377</v>
      </c>
      <c r="E8" s="6">
        <f t="shared" si="0"/>
        <v>0</v>
      </c>
      <c r="F8" s="7">
        <f t="shared" si="1"/>
        <v>0</v>
      </c>
      <c r="G8" s="8">
        <v>7.8</v>
      </c>
      <c r="H8" s="10">
        <v>7.1</v>
      </c>
      <c r="I8" s="9">
        <v>7.21</v>
      </c>
      <c r="J8" s="6">
        <f>C8*G8</f>
        <v>11999340.6</v>
      </c>
      <c r="K8" s="6">
        <f>D8*H8</f>
        <v>10922476.699999999</v>
      </c>
      <c r="L8" s="6">
        <f>I8*D8</f>
        <v>11091698.17</v>
      </c>
      <c r="M8" s="7">
        <f t="shared" si="2"/>
        <v>1.5492957746478853E-2</v>
      </c>
    </row>
    <row r="9" spans="1:14">
      <c r="A9" s="5" t="s">
        <v>18</v>
      </c>
      <c r="B9" s="5" t="s">
        <v>48</v>
      </c>
      <c r="C9" s="6">
        <f>71896273+2000000+6000000</f>
        <v>79896273</v>
      </c>
      <c r="D9" s="6">
        <f>63228096+2000000+6000000</f>
        <v>71228096</v>
      </c>
      <c r="E9" s="6">
        <f t="shared" si="0"/>
        <v>-8668177</v>
      </c>
      <c r="F9" s="7">
        <f t="shared" si="1"/>
        <v>-0.10849288301595746</v>
      </c>
      <c r="G9" s="8">
        <v>51.8</v>
      </c>
      <c r="H9" s="10">
        <v>39.159999999999997</v>
      </c>
      <c r="I9" s="9">
        <v>43.93</v>
      </c>
      <c r="J9" s="6">
        <f>C9*G9</f>
        <v>4138626941.3999996</v>
      </c>
      <c r="K9" s="6">
        <f>D9*H9</f>
        <v>2789292239.3599997</v>
      </c>
      <c r="L9" s="6">
        <f>I9*D9</f>
        <v>3129050257.2800002</v>
      </c>
      <c r="M9" s="7">
        <f t="shared" si="2"/>
        <v>0.12180796731358545</v>
      </c>
    </row>
    <row r="10" spans="1:14">
      <c r="A10" s="5" t="s">
        <v>19</v>
      </c>
      <c r="B10" s="5" t="s">
        <v>49</v>
      </c>
      <c r="C10" s="6">
        <f>19897322</f>
        <v>19897322</v>
      </c>
      <c r="D10" s="6">
        <v>14828207</v>
      </c>
      <c r="E10" s="6">
        <f t="shared" si="0"/>
        <v>-5069115</v>
      </c>
      <c r="F10" s="7">
        <f t="shared" si="1"/>
        <v>-0.25476368126323734</v>
      </c>
      <c r="G10" s="8">
        <v>25.09</v>
      </c>
      <c r="H10" s="10">
        <v>20.66</v>
      </c>
      <c r="I10" s="9">
        <v>24.8</v>
      </c>
      <c r="J10" s="6">
        <f>C10*G10</f>
        <v>499223808.98000002</v>
      </c>
      <c r="K10" s="6">
        <f>D10*H10</f>
        <v>306350756.62</v>
      </c>
      <c r="L10" s="6">
        <f>I10*D10</f>
        <v>367739533.60000002</v>
      </c>
      <c r="M10" s="7">
        <f t="shared" si="2"/>
        <v>0.20038722168441447</v>
      </c>
    </row>
    <row r="11" spans="1:14">
      <c r="A11" s="5" t="s">
        <v>6</v>
      </c>
      <c r="B11" s="5" t="s">
        <v>50</v>
      </c>
      <c r="C11" s="6">
        <v>5254000</v>
      </c>
      <c r="D11" s="6">
        <v>5254000</v>
      </c>
      <c r="E11" s="6">
        <f t="shared" si="0"/>
        <v>0</v>
      </c>
      <c r="F11" s="7">
        <f t="shared" si="1"/>
        <v>0</v>
      </c>
      <c r="G11" s="8">
        <v>52.5</v>
      </c>
      <c r="H11" s="10">
        <v>46.32</v>
      </c>
      <c r="I11" s="9">
        <v>44.75</v>
      </c>
      <c r="J11" s="6">
        <f>C11*G11</f>
        <v>275835000</v>
      </c>
      <c r="K11" s="6">
        <f>D11*H11</f>
        <v>243365280</v>
      </c>
      <c r="L11" s="6">
        <f>I11*D11</f>
        <v>235116500</v>
      </c>
      <c r="M11" s="7">
        <f t="shared" si="2"/>
        <v>-3.3894645941278112E-2</v>
      </c>
    </row>
    <row r="12" spans="1:14">
      <c r="A12" s="5" t="s">
        <v>20</v>
      </c>
      <c r="B12" s="5" t="s">
        <v>51</v>
      </c>
      <c r="C12" s="6">
        <v>3200000</v>
      </c>
      <c r="D12" s="6">
        <v>3200000</v>
      </c>
      <c r="E12" s="6">
        <f t="shared" si="0"/>
        <v>0</v>
      </c>
      <c r="F12" s="7">
        <f t="shared" si="1"/>
        <v>0</v>
      </c>
      <c r="G12" s="8">
        <v>49.71</v>
      </c>
      <c r="H12" s="10">
        <v>36.86</v>
      </c>
      <c r="I12" s="9">
        <v>45.31</v>
      </c>
      <c r="J12" s="6">
        <f>C12*G12</f>
        <v>159072000</v>
      </c>
      <c r="K12" s="6">
        <f>D12*H12</f>
        <v>117952000</v>
      </c>
      <c r="L12" s="6">
        <f>I12*D12</f>
        <v>144992000</v>
      </c>
      <c r="M12" s="7">
        <f t="shared" si="2"/>
        <v>0.22924579489962027</v>
      </c>
    </row>
    <row r="13" spans="1:14">
      <c r="A13" s="5" t="s">
        <v>21</v>
      </c>
      <c r="B13" s="5" t="s">
        <v>52</v>
      </c>
      <c r="C13" s="6">
        <v>3447600</v>
      </c>
      <c r="D13" s="6">
        <v>3447600</v>
      </c>
      <c r="E13" s="6">
        <f t="shared" si="0"/>
        <v>0</v>
      </c>
      <c r="F13" s="7">
        <f t="shared" si="1"/>
        <v>0</v>
      </c>
      <c r="G13" s="8">
        <v>8</v>
      </c>
      <c r="H13" s="10">
        <v>2.2000000000000002</v>
      </c>
      <c r="I13" s="9">
        <v>4.3600000000000003</v>
      </c>
      <c r="J13" s="6">
        <f>C13*G13</f>
        <v>27580800</v>
      </c>
      <c r="K13" s="6">
        <f>D13*H13</f>
        <v>7584720.0000000009</v>
      </c>
      <c r="L13" s="6">
        <f>I13*D13</f>
        <v>15031536.000000002</v>
      </c>
      <c r="M13" s="7">
        <f t="shared" si="2"/>
        <v>0.98181818181818192</v>
      </c>
    </row>
    <row r="14" spans="1:14">
      <c r="A14" s="5" t="s">
        <v>22</v>
      </c>
      <c r="B14" s="5" t="s">
        <v>53</v>
      </c>
      <c r="C14" s="6">
        <v>7777900</v>
      </c>
      <c r="D14" s="6">
        <v>7777900</v>
      </c>
      <c r="E14" s="6">
        <f t="shared" si="0"/>
        <v>0</v>
      </c>
      <c r="F14" s="7">
        <f t="shared" si="1"/>
        <v>0</v>
      </c>
      <c r="G14" s="8">
        <v>16.2</v>
      </c>
      <c r="H14" s="10">
        <v>10.11</v>
      </c>
      <c r="I14" s="9">
        <v>12.86</v>
      </c>
      <c r="J14" s="6">
        <f>C14*G14</f>
        <v>126001980</v>
      </c>
      <c r="K14" s="6">
        <f>D14*H14</f>
        <v>78634569</v>
      </c>
      <c r="L14" s="6">
        <f>I14*D14</f>
        <v>100023794</v>
      </c>
      <c r="M14" s="7">
        <f t="shared" si="2"/>
        <v>0.27200791295746796</v>
      </c>
    </row>
    <row r="15" spans="1:14">
      <c r="A15" s="5" t="s">
        <v>23</v>
      </c>
      <c r="B15" s="5" t="s">
        <v>54</v>
      </c>
      <c r="C15" s="6">
        <v>1510500</v>
      </c>
      <c r="D15" s="6">
        <v>1510500</v>
      </c>
      <c r="E15" s="6">
        <f t="shared" si="0"/>
        <v>0</v>
      </c>
      <c r="F15" s="7">
        <f t="shared" si="1"/>
        <v>0</v>
      </c>
      <c r="G15" s="8">
        <v>37.270000000000003</v>
      </c>
      <c r="H15" s="10">
        <v>31.07</v>
      </c>
      <c r="I15" s="9">
        <v>31.78</v>
      </c>
      <c r="J15" s="6">
        <f>C15*G15</f>
        <v>56296335.000000007</v>
      </c>
      <c r="K15" s="6">
        <f>D15*H15</f>
        <v>46931235</v>
      </c>
      <c r="L15" s="6">
        <f>I15*D15</f>
        <v>48003690</v>
      </c>
      <c r="M15" s="7">
        <f t="shared" si="2"/>
        <v>2.2851625362085626E-2</v>
      </c>
    </row>
    <row r="16" spans="1:14">
      <c r="A16" s="5" t="s">
        <v>24</v>
      </c>
      <c r="B16" s="5" t="s">
        <v>55</v>
      </c>
      <c r="C16" s="6">
        <v>3700000</v>
      </c>
      <c r="D16" s="6">
        <v>3700000</v>
      </c>
      <c r="E16" s="6">
        <f t="shared" si="0"/>
        <v>0</v>
      </c>
      <c r="F16" s="7">
        <f t="shared" si="1"/>
        <v>0</v>
      </c>
      <c r="G16" s="8">
        <v>23.02</v>
      </c>
      <c r="H16" s="10">
        <v>23.56</v>
      </c>
      <c r="I16" s="9">
        <v>24.4</v>
      </c>
      <c r="J16" s="6">
        <f>C16*G16</f>
        <v>85174000</v>
      </c>
      <c r="K16" s="6">
        <f>D16*H16</f>
        <v>87172000</v>
      </c>
      <c r="L16" s="6">
        <f>I16*D16</f>
        <v>90280000</v>
      </c>
      <c r="M16" s="7">
        <f t="shared" si="2"/>
        <v>3.5653650254668934E-2</v>
      </c>
    </row>
    <row r="17" spans="1:13">
      <c r="A17" s="5" t="s">
        <v>25</v>
      </c>
      <c r="B17" s="5" t="s">
        <v>56</v>
      </c>
      <c r="C17" s="6">
        <v>7782600</v>
      </c>
      <c r="D17" s="6">
        <f>636600+7146000</f>
        <v>7782600</v>
      </c>
      <c r="E17" s="6">
        <f t="shared" si="0"/>
        <v>0</v>
      </c>
      <c r="F17" s="7">
        <f t="shared" si="1"/>
        <v>0</v>
      </c>
      <c r="G17" s="8">
        <v>17.350000000000001</v>
      </c>
      <c r="H17" s="10">
        <v>13.8</v>
      </c>
      <c r="I17" s="9">
        <v>20.55</v>
      </c>
      <c r="J17" s="6">
        <f>C17*G17</f>
        <v>135028110</v>
      </c>
      <c r="K17" s="6">
        <f>D17*H17</f>
        <v>107399880</v>
      </c>
      <c r="L17" s="6">
        <f>I17*D17</f>
        <v>159932430</v>
      </c>
      <c r="M17" s="7">
        <f t="shared" si="2"/>
        <v>0.48913043478260865</v>
      </c>
    </row>
    <row r="18" spans="1:13">
      <c r="A18" s="5" t="s">
        <v>7</v>
      </c>
      <c r="B18" s="5" t="s">
        <v>57</v>
      </c>
      <c r="C18" s="6">
        <v>3372200</v>
      </c>
      <c r="D18" s="6">
        <v>3372200</v>
      </c>
      <c r="E18" s="6">
        <f t="shared" si="0"/>
        <v>0</v>
      </c>
      <c r="F18" s="7">
        <f t="shared" si="1"/>
        <v>0</v>
      </c>
      <c r="G18" s="8">
        <v>24.73</v>
      </c>
      <c r="H18" s="10">
        <v>22.17</v>
      </c>
      <c r="I18" s="9">
        <v>26.95</v>
      </c>
      <c r="J18" s="6">
        <f>C18*G18</f>
        <v>83394506</v>
      </c>
      <c r="K18" s="6">
        <f>D18*H18</f>
        <v>74761674</v>
      </c>
      <c r="L18" s="6">
        <f>I18*D18</f>
        <v>90880790</v>
      </c>
      <c r="M18" s="7">
        <f t="shared" si="2"/>
        <v>0.21560667568786651</v>
      </c>
    </row>
    <row r="19" spans="1:13">
      <c r="A19" s="5" t="s">
        <v>26</v>
      </c>
      <c r="B19" s="5" t="s">
        <v>58</v>
      </c>
      <c r="C19" s="6">
        <f>4322500+13509591+325300+9087200+792000+575000</f>
        <v>28611591</v>
      </c>
      <c r="D19" s="6">
        <f>4322500+13509591+325300+9087200+792000+575000+3897300</f>
        <v>32508891</v>
      </c>
      <c r="E19" s="6">
        <f t="shared" si="0"/>
        <v>3897300</v>
      </c>
      <c r="F19" s="7">
        <f t="shared" si="1"/>
        <v>0.13621402598688062</v>
      </c>
      <c r="G19" s="8">
        <v>59.83</v>
      </c>
      <c r="H19" s="10">
        <v>52.6</v>
      </c>
      <c r="I19" s="9">
        <v>55.41</v>
      </c>
      <c r="J19" s="6">
        <f>C19*G19</f>
        <v>1711831489.53</v>
      </c>
      <c r="K19" s="6">
        <f>D19*H19</f>
        <v>1709967666.6000001</v>
      </c>
      <c r="L19" s="6">
        <f>I19*D19</f>
        <v>1801317650.3099999</v>
      </c>
      <c r="M19" s="7">
        <f t="shared" si="2"/>
        <v>5.3422053231938937E-2</v>
      </c>
    </row>
    <row r="20" spans="1:13">
      <c r="A20" s="5" t="s">
        <v>27</v>
      </c>
      <c r="B20" s="5" t="s">
        <v>59</v>
      </c>
      <c r="C20" s="6">
        <f>89222400+30790300+10000000+259800+8000000</f>
        <v>138272500</v>
      </c>
      <c r="D20" s="6">
        <f>89222400+30790300+10000000+259800+8000000</f>
        <v>138272500</v>
      </c>
      <c r="E20" s="6">
        <f t="shared" si="0"/>
        <v>0</v>
      </c>
      <c r="F20" s="7">
        <f t="shared" si="1"/>
        <v>0</v>
      </c>
      <c r="G20" s="8">
        <v>26.85</v>
      </c>
      <c r="H20" s="10">
        <v>22.29</v>
      </c>
      <c r="I20" s="9">
        <v>24.8</v>
      </c>
      <c r="J20" s="6">
        <f>C20*G20</f>
        <v>3712616625</v>
      </c>
      <c r="K20" s="6">
        <f>D20*H20</f>
        <v>3082094025</v>
      </c>
      <c r="L20" s="6">
        <f>I20*D20</f>
        <v>3429158000</v>
      </c>
      <c r="M20" s="7">
        <f t="shared" si="2"/>
        <v>0.11260655002243158</v>
      </c>
    </row>
    <row r="21" spans="1:13">
      <c r="A21" s="5" t="s">
        <v>8</v>
      </c>
      <c r="B21" s="5" t="s">
        <v>82</v>
      </c>
      <c r="C21" s="6">
        <v>6500000</v>
      </c>
      <c r="D21" s="6">
        <v>6500000</v>
      </c>
      <c r="E21" s="6">
        <f t="shared" si="0"/>
        <v>0</v>
      </c>
      <c r="F21" s="7">
        <f t="shared" si="1"/>
        <v>0</v>
      </c>
      <c r="G21" s="8">
        <v>21.52</v>
      </c>
      <c r="H21" s="10">
        <v>18.25</v>
      </c>
      <c r="I21" s="9">
        <v>18.45</v>
      </c>
      <c r="J21" s="6">
        <f>C21*G21</f>
        <v>139880000</v>
      </c>
      <c r="K21" s="6">
        <f>D21*H21</f>
        <v>118625000</v>
      </c>
      <c r="L21" s="6">
        <f>I21*D21</f>
        <v>119925000</v>
      </c>
      <c r="M21" s="7">
        <f t="shared" si="2"/>
        <v>1.0958904109588996E-2</v>
      </c>
    </row>
    <row r="22" spans="1:13">
      <c r="A22" s="5" t="s">
        <v>28</v>
      </c>
      <c r="B22" s="5" t="s">
        <v>60</v>
      </c>
      <c r="C22" s="6">
        <f>6003360+546000+165700</f>
        <v>6715060</v>
      </c>
      <c r="D22" s="6">
        <f>6003360+546000+165700</f>
        <v>6715060</v>
      </c>
      <c r="E22" s="6">
        <f t="shared" si="0"/>
        <v>0</v>
      </c>
      <c r="F22" s="7">
        <f t="shared" si="1"/>
        <v>0</v>
      </c>
      <c r="G22" s="8">
        <v>57.41</v>
      </c>
      <c r="H22" s="10">
        <v>45.24</v>
      </c>
      <c r="I22" s="9">
        <v>46.16</v>
      </c>
      <c r="J22" s="6">
        <f>C22*G22</f>
        <v>385511594.59999996</v>
      </c>
      <c r="K22" s="6">
        <f>D22*H22</f>
        <v>303789314.40000004</v>
      </c>
      <c r="L22" s="6">
        <f>I22*D22</f>
        <v>309967169.59999996</v>
      </c>
      <c r="M22" s="7">
        <f t="shared" si="2"/>
        <v>2.0335985853227045E-2</v>
      </c>
    </row>
    <row r="23" spans="1:13">
      <c r="A23" s="5" t="s">
        <v>29</v>
      </c>
      <c r="B23" s="5" t="s">
        <v>61</v>
      </c>
      <c r="C23" s="6">
        <f>32280600+15719400</f>
        <v>48000000</v>
      </c>
      <c r="D23" s="6">
        <f>32280600+15719400</f>
        <v>48000000</v>
      </c>
      <c r="E23" s="6">
        <f t="shared" si="0"/>
        <v>0</v>
      </c>
      <c r="F23" s="7">
        <f t="shared" si="1"/>
        <v>0</v>
      </c>
      <c r="G23" s="8">
        <v>20.09</v>
      </c>
      <c r="H23" s="10">
        <v>22.92</v>
      </c>
      <c r="I23" s="9">
        <v>28.4</v>
      </c>
      <c r="J23" s="6">
        <f>C23*G23</f>
        <v>964320000</v>
      </c>
      <c r="K23" s="6">
        <f>D23*H23</f>
        <v>1100160000</v>
      </c>
      <c r="L23" s="6">
        <f>I23*D23</f>
        <v>1363200000</v>
      </c>
      <c r="M23" s="7">
        <f t="shared" si="2"/>
        <v>0.23909249563699819</v>
      </c>
    </row>
    <row r="24" spans="1:13">
      <c r="A24" s="5" t="s">
        <v>30</v>
      </c>
      <c r="B24" s="5" t="s">
        <v>62</v>
      </c>
      <c r="C24" s="6">
        <v>7200000</v>
      </c>
      <c r="D24" s="6">
        <v>7200000</v>
      </c>
      <c r="E24" s="6">
        <f t="shared" si="0"/>
        <v>0</v>
      </c>
      <c r="F24" s="7">
        <f t="shared" si="1"/>
        <v>0</v>
      </c>
      <c r="G24" s="8">
        <v>23.33</v>
      </c>
      <c r="H24" s="10">
        <v>17.600000000000001</v>
      </c>
      <c r="I24" s="9">
        <v>19.579999999999998</v>
      </c>
      <c r="J24" s="6">
        <f>C24*G24</f>
        <v>167976000</v>
      </c>
      <c r="K24" s="6">
        <f>D24*H24</f>
        <v>126720000.00000001</v>
      </c>
      <c r="L24" s="6">
        <f>I24*D24</f>
        <v>140976000</v>
      </c>
      <c r="M24" s="7">
        <f t="shared" si="2"/>
        <v>0.11249999999999982</v>
      </c>
    </row>
    <row r="25" spans="1:13">
      <c r="A25" s="5" t="s">
        <v>9</v>
      </c>
      <c r="B25" s="5" t="s">
        <v>63</v>
      </c>
      <c r="C25" s="6">
        <v>8739100</v>
      </c>
      <c r="D25" s="6">
        <v>9000000</v>
      </c>
      <c r="E25" s="6">
        <f t="shared" si="0"/>
        <v>260900</v>
      </c>
      <c r="F25" s="7">
        <f t="shared" si="1"/>
        <v>2.9854332826034717E-2</v>
      </c>
      <c r="G25" s="8">
        <v>11.54</v>
      </c>
      <c r="H25" s="10">
        <v>13.07</v>
      </c>
      <c r="I25" s="9">
        <v>16.53</v>
      </c>
      <c r="J25" s="6">
        <f>C25*G25</f>
        <v>100849214</v>
      </c>
      <c r="K25" s="6">
        <f>D25*H25</f>
        <v>117630000</v>
      </c>
      <c r="L25" s="6">
        <f>I25*D25</f>
        <v>148770000</v>
      </c>
      <c r="M25" s="7">
        <f t="shared" si="2"/>
        <v>0.26472838561591439</v>
      </c>
    </row>
    <row r="26" spans="1:13">
      <c r="A26" s="5" t="s">
        <v>31</v>
      </c>
      <c r="B26" s="5" t="s">
        <v>64</v>
      </c>
      <c r="C26" s="6">
        <v>7641000</v>
      </c>
      <c r="D26" s="6">
        <v>7641000</v>
      </c>
      <c r="E26" s="6">
        <f t="shared" si="0"/>
        <v>0</v>
      </c>
      <c r="F26" s="7">
        <f t="shared" si="1"/>
        <v>0</v>
      </c>
      <c r="G26" s="8">
        <v>51</v>
      </c>
      <c r="H26" s="10">
        <v>46.89</v>
      </c>
      <c r="I26" s="9">
        <v>49.75</v>
      </c>
      <c r="J26" s="6">
        <f>C26*G26</f>
        <v>389691000</v>
      </c>
      <c r="K26" s="6">
        <f>D26*H26</f>
        <v>358286490</v>
      </c>
      <c r="L26" s="6">
        <f>I26*D26</f>
        <v>380139750</v>
      </c>
      <c r="M26" s="7">
        <f t="shared" si="2"/>
        <v>6.0993815312433419E-2</v>
      </c>
    </row>
    <row r="27" spans="1:13">
      <c r="A27" s="5" t="s">
        <v>32</v>
      </c>
      <c r="B27" s="5" t="s">
        <v>65</v>
      </c>
      <c r="C27" s="6">
        <v>1933000</v>
      </c>
      <c r="D27" s="6">
        <v>1933000</v>
      </c>
      <c r="E27" s="6">
        <f t="shared" si="0"/>
        <v>0</v>
      </c>
      <c r="F27" s="7">
        <f t="shared" si="1"/>
        <v>0</v>
      </c>
      <c r="G27" s="8">
        <v>47.05</v>
      </c>
      <c r="H27" s="10">
        <v>33.75</v>
      </c>
      <c r="I27" s="9">
        <v>35.08</v>
      </c>
      <c r="J27" s="6">
        <f>C27*G27</f>
        <v>90947650</v>
      </c>
      <c r="K27" s="6">
        <f>D27*H27</f>
        <v>65238750</v>
      </c>
      <c r="L27" s="6">
        <f>I27*D27</f>
        <v>67809640</v>
      </c>
      <c r="M27" s="7">
        <f t="shared" si="2"/>
        <v>3.9407407407407335E-2</v>
      </c>
    </row>
    <row r="28" spans="1:13">
      <c r="A28" s="5" t="s">
        <v>33</v>
      </c>
      <c r="B28" s="5" t="s">
        <v>66</v>
      </c>
      <c r="C28" s="6">
        <v>96316010</v>
      </c>
      <c r="D28" s="6">
        <f>55700318+20280000+6240000+6240000+780000+1560000+1140692+4375000</f>
        <v>96316010</v>
      </c>
      <c r="E28" s="6">
        <f t="shared" si="0"/>
        <v>0</v>
      </c>
      <c r="F28" s="7">
        <f t="shared" si="1"/>
        <v>0</v>
      </c>
      <c r="G28" s="8">
        <v>61.82</v>
      </c>
      <c r="H28" s="10">
        <v>47.09</v>
      </c>
      <c r="I28" s="9">
        <v>50.67</v>
      </c>
      <c r="J28" s="6">
        <f>C28*G28</f>
        <v>5954255738.1999998</v>
      </c>
      <c r="K28" s="6">
        <f>D28*H28</f>
        <v>4535520910.9000006</v>
      </c>
      <c r="L28" s="6">
        <f>I28*D28</f>
        <v>4880332226.6999998</v>
      </c>
      <c r="M28" s="7">
        <f t="shared" si="2"/>
        <v>7.6024633680186637E-2</v>
      </c>
    </row>
    <row r="29" spans="1:13">
      <c r="A29" s="5" t="s">
        <v>83</v>
      </c>
      <c r="B29" s="5" t="s">
        <v>84</v>
      </c>
      <c r="C29" s="6">
        <f>488500+2896133+169300+350000</f>
        <v>3903933</v>
      </c>
      <c r="D29" s="6">
        <f>488500+2896133+169300+350000</f>
        <v>3903933</v>
      </c>
      <c r="E29" s="6">
        <f t="shared" si="0"/>
        <v>0</v>
      </c>
      <c r="F29" s="7">
        <f t="shared" si="1"/>
        <v>0</v>
      </c>
      <c r="G29" s="8">
        <v>32.159999999999997</v>
      </c>
      <c r="H29" s="10">
        <v>27.93</v>
      </c>
      <c r="I29" s="9">
        <v>29.77</v>
      </c>
      <c r="J29" s="6">
        <f>C29*G29</f>
        <v>125550485.27999999</v>
      </c>
      <c r="K29" s="6">
        <f>D29*H29</f>
        <v>109036848.69</v>
      </c>
      <c r="L29" s="6">
        <f>I29*D29</f>
        <v>116220085.41</v>
      </c>
      <c r="M29" s="7">
        <f t="shared" si="2"/>
        <v>6.5878983172216188E-2</v>
      </c>
    </row>
    <row r="30" spans="1:13">
      <c r="A30" s="5" t="s">
        <v>34</v>
      </c>
      <c r="B30" s="5" t="s">
        <v>67</v>
      </c>
      <c r="C30" s="6">
        <f>2344600+860000</f>
        <v>3204600</v>
      </c>
      <c r="D30" s="6">
        <f>2344600+860000</f>
        <v>3204600</v>
      </c>
      <c r="E30" s="6">
        <f t="shared" si="0"/>
        <v>0</v>
      </c>
      <c r="F30" s="7">
        <f t="shared" si="1"/>
        <v>0</v>
      </c>
      <c r="G30" s="8">
        <v>29.54</v>
      </c>
      <c r="H30" s="10">
        <v>11.74</v>
      </c>
      <c r="I30" s="9">
        <v>15.05</v>
      </c>
      <c r="J30" s="6">
        <f>C30*G30</f>
        <v>94663884</v>
      </c>
      <c r="K30" s="6">
        <f>D30*H30</f>
        <v>37622004</v>
      </c>
      <c r="L30" s="6">
        <f>I30*D30</f>
        <v>48229230</v>
      </c>
      <c r="M30" s="7">
        <f t="shared" si="2"/>
        <v>0.28194207836456564</v>
      </c>
    </row>
    <row r="31" spans="1:13">
      <c r="A31" s="5" t="s">
        <v>35</v>
      </c>
      <c r="B31" s="5" t="s">
        <v>68</v>
      </c>
      <c r="C31" s="6">
        <f>77551+449728+1656900+639700</f>
        <v>2823879</v>
      </c>
      <c r="D31" s="6">
        <f>77551+449728+1656900+639700</f>
        <v>2823879</v>
      </c>
      <c r="E31" s="6">
        <f t="shared" si="0"/>
        <v>0</v>
      </c>
      <c r="F31" s="7">
        <f t="shared" si="1"/>
        <v>0</v>
      </c>
      <c r="G31" s="8">
        <v>44.7</v>
      </c>
      <c r="H31" s="10">
        <v>26.23</v>
      </c>
      <c r="I31" s="9">
        <v>35.340000000000003</v>
      </c>
      <c r="J31" s="6">
        <f>C31*G31</f>
        <v>126227391.30000001</v>
      </c>
      <c r="K31" s="6">
        <f>D31*H31</f>
        <v>74070346.170000002</v>
      </c>
      <c r="L31" s="6">
        <f>I31*D31</f>
        <v>99795883.860000014</v>
      </c>
      <c r="M31" s="7">
        <f t="shared" si="2"/>
        <v>0.34731223789553956</v>
      </c>
    </row>
    <row r="32" spans="1:13">
      <c r="A32" s="5" t="s">
        <v>36</v>
      </c>
      <c r="B32" s="5" t="s">
        <v>69</v>
      </c>
      <c r="C32" s="6">
        <f>23307300+20768826+8365000+10000000+2174000+1745000+1191300</f>
        <v>67551426</v>
      </c>
      <c r="D32" s="6">
        <f>23307300+20768826+8365000+10000000+2174000+1745000+2679300</f>
        <v>69039426</v>
      </c>
      <c r="E32" s="6">
        <f t="shared" si="0"/>
        <v>1488000</v>
      </c>
      <c r="F32" s="7">
        <f t="shared" si="1"/>
        <v>2.2027662302791358E-2</v>
      </c>
      <c r="G32" s="8">
        <v>25.01</v>
      </c>
      <c r="H32" s="10">
        <v>14.61</v>
      </c>
      <c r="I32" s="9">
        <v>17.670000000000002</v>
      </c>
      <c r="J32" s="6">
        <f>C32*G32</f>
        <v>1689461164.26</v>
      </c>
      <c r="K32" s="6">
        <f>D32*H32</f>
        <v>1008666013.86</v>
      </c>
      <c r="L32" s="6">
        <f>I32*D32</f>
        <v>1219926657.4200001</v>
      </c>
      <c r="M32" s="7">
        <f t="shared" si="2"/>
        <v>0.20944558521560586</v>
      </c>
    </row>
    <row r="33" spans="1:14">
      <c r="A33" s="5" t="s">
        <v>37</v>
      </c>
      <c r="B33" s="5" t="s">
        <v>70</v>
      </c>
      <c r="C33" s="6">
        <v>17072192</v>
      </c>
      <c r="D33" s="6">
        <v>17072192</v>
      </c>
      <c r="E33" s="6">
        <f t="shared" si="0"/>
        <v>0</v>
      </c>
      <c r="F33" s="7">
        <f t="shared" si="1"/>
        <v>0</v>
      </c>
      <c r="G33" s="8">
        <v>8.0399999999999991</v>
      </c>
      <c r="H33" s="10">
        <v>7.61</v>
      </c>
      <c r="I33" s="9">
        <v>11.7</v>
      </c>
      <c r="J33" s="6">
        <f>C33*G33</f>
        <v>137260423.67999998</v>
      </c>
      <c r="K33" s="6">
        <f>D33*H33</f>
        <v>129919381.12</v>
      </c>
      <c r="L33" s="6">
        <f>I33*D33</f>
        <v>199744646.39999998</v>
      </c>
      <c r="M33" s="7">
        <f t="shared" si="2"/>
        <v>0.53745072273324546</v>
      </c>
    </row>
    <row r="34" spans="1:14">
      <c r="A34" s="5" t="s">
        <v>10</v>
      </c>
      <c r="B34" s="5" t="s">
        <v>71</v>
      </c>
      <c r="C34" s="6">
        <v>8906000</v>
      </c>
      <c r="D34" s="6">
        <f>8906000+652000</f>
        <v>9558000</v>
      </c>
      <c r="E34" s="6">
        <f t="shared" si="0"/>
        <v>652000</v>
      </c>
      <c r="F34" s="7">
        <f t="shared" si="1"/>
        <v>7.3209072535369416E-2</v>
      </c>
      <c r="G34" s="8">
        <v>47.8</v>
      </c>
      <c r="H34" s="10">
        <v>41.11</v>
      </c>
      <c r="I34" s="9">
        <v>46.58</v>
      </c>
      <c r="J34" s="6">
        <f>C34*G34</f>
        <v>425706800</v>
      </c>
      <c r="K34" s="6">
        <f>D34*H34</f>
        <v>392929380</v>
      </c>
      <c r="L34" s="6">
        <f>I34*D34</f>
        <v>445211640</v>
      </c>
      <c r="M34" s="7">
        <f t="shared" si="2"/>
        <v>0.13305765020676241</v>
      </c>
    </row>
    <row r="35" spans="1:14">
      <c r="A35" s="5" t="s">
        <v>38</v>
      </c>
      <c r="B35" s="5" t="s">
        <v>72</v>
      </c>
      <c r="C35" s="6">
        <v>1429200</v>
      </c>
      <c r="D35" s="6">
        <v>1429200</v>
      </c>
      <c r="E35" s="6">
        <f t="shared" si="0"/>
        <v>0</v>
      </c>
      <c r="F35" s="7">
        <f t="shared" si="1"/>
        <v>0</v>
      </c>
      <c r="G35" s="8">
        <v>55.16</v>
      </c>
      <c r="H35" s="10">
        <v>49.22</v>
      </c>
      <c r="I35" s="9">
        <v>51.99</v>
      </c>
      <c r="J35" s="6">
        <f>C35*G35</f>
        <v>78834672</v>
      </c>
      <c r="K35" s="6">
        <f>D35*H35</f>
        <v>70345224</v>
      </c>
      <c r="L35" s="6">
        <f>I35*D35</f>
        <v>74304108</v>
      </c>
      <c r="M35" s="7">
        <f t="shared" si="2"/>
        <v>5.6277935798455969E-2</v>
      </c>
    </row>
    <row r="36" spans="1:14">
      <c r="A36" s="5" t="s">
        <v>39</v>
      </c>
      <c r="B36" s="5" t="s">
        <v>73</v>
      </c>
      <c r="C36" s="6">
        <v>6300000</v>
      </c>
      <c r="D36" s="6">
        <v>4500000</v>
      </c>
      <c r="E36" s="6">
        <f t="shared" si="0"/>
        <v>-1800000</v>
      </c>
      <c r="F36" s="7">
        <f t="shared" si="1"/>
        <v>-0.2857142857142857</v>
      </c>
      <c r="G36" s="8">
        <v>26.6</v>
      </c>
      <c r="H36" s="10">
        <v>20.93</v>
      </c>
      <c r="I36" s="9">
        <v>27.51</v>
      </c>
      <c r="J36" s="6">
        <f>C36*G36</f>
        <v>167580000</v>
      </c>
      <c r="K36" s="6">
        <f>D36*H36</f>
        <v>94185000</v>
      </c>
      <c r="L36" s="6">
        <f>I36*D36</f>
        <v>123795000</v>
      </c>
      <c r="M36" s="7">
        <f t="shared" si="2"/>
        <v>0.31438127090301005</v>
      </c>
    </row>
    <row r="37" spans="1:14">
      <c r="A37" s="5" t="s">
        <v>11</v>
      </c>
      <c r="B37" s="5" t="s">
        <v>74</v>
      </c>
      <c r="C37" s="6">
        <v>2700000</v>
      </c>
      <c r="D37" s="6">
        <v>2700000</v>
      </c>
      <c r="E37" s="6">
        <f t="shared" si="0"/>
        <v>0</v>
      </c>
      <c r="F37" s="7">
        <f t="shared" si="1"/>
        <v>0</v>
      </c>
      <c r="G37" s="8">
        <v>15.79</v>
      </c>
      <c r="H37" s="10">
        <v>12.31</v>
      </c>
      <c r="I37" s="9">
        <v>15.35</v>
      </c>
      <c r="J37" s="6">
        <f>C37*G37</f>
        <v>42633000</v>
      </c>
      <c r="K37" s="6">
        <f>D37*H37</f>
        <v>33237000</v>
      </c>
      <c r="L37" s="6">
        <f>I37*D37</f>
        <v>41445000</v>
      </c>
      <c r="M37" s="7">
        <f t="shared" si="2"/>
        <v>0.24695369618196583</v>
      </c>
    </row>
    <row r="38" spans="1:14">
      <c r="A38" s="5" t="s">
        <v>40</v>
      </c>
      <c r="B38" s="5" t="s">
        <v>75</v>
      </c>
      <c r="C38" s="6">
        <f>18998300+946000</f>
        <v>19944300</v>
      </c>
      <c r="D38" s="6">
        <f>18998300+946000</f>
        <v>19944300</v>
      </c>
      <c r="E38" s="6">
        <f t="shared" si="0"/>
        <v>0</v>
      </c>
      <c r="F38" s="7">
        <f t="shared" si="1"/>
        <v>0</v>
      </c>
      <c r="G38" s="8">
        <v>56.06</v>
      </c>
      <c r="H38" s="10">
        <v>52.1</v>
      </c>
      <c r="I38" s="9">
        <v>48.15</v>
      </c>
      <c r="J38" s="6">
        <f>C38*G38</f>
        <v>1118077458</v>
      </c>
      <c r="K38" s="6">
        <f>D38*H38</f>
        <v>1039098030</v>
      </c>
      <c r="L38" s="6">
        <f>I38*D38</f>
        <v>960318045</v>
      </c>
      <c r="M38" s="7">
        <f t="shared" si="2"/>
        <v>-7.5815738963531665E-2</v>
      </c>
    </row>
    <row r="39" spans="1:14">
      <c r="A39" s="5" t="s">
        <v>12</v>
      </c>
      <c r="B39" s="5" t="s">
        <v>76</v>
      </c>
      <c r="C39" s="6">
        <f>894304+148311+648165+36985</f>
        <v>1727765</v>
      </c>
      <c r="D39" s="6">
        <f>894304+148311+648165+36985</f>
        <v>1727765</v>
      </c>
      <c r="E39" s="6">
        <f t="shared" si="0"/>
        <v>0</v>
      </c>
      <c r="F39" s="7">
        <f t="shared" si="1"/>
        <v>0</v>
      </c>
      <c r="G39" s="8">
        <v>390.25</v>
      </c>
      <c r="H39" s="10">
        <v>357.1</v>
      </c>
      <c r="I39" s="9">
        <v>358.71</v>
      </c>
      <c r="J39" s="6">
        <f>C39*G39</f>
        <v>674260291.25</v>
      </c>
      <c r="K39" s="6">
        <f>D39*H39</f>
        <v>616984881.5</v>
      </c>
      <c r="L39" s="6">
        <f>I39*D39</f>
        <v>619766583.14999998</v>
      </c>
      <c r="M39" s="7">
        <f t="shared" si="2"/>
        <v>4.5085410249230407E-3</v>
      </c>
    </row>
    <row r="40" spans="1:14">
      <c r="A40" s="5" t="s">
        <v>41</v>
      </c>
      <c r="B40" s="5" t="s">
        <v>77</v>
      </c>
      <c r="C40" s="6">
        <f>53489420+12643200+38313040+2788000+1000000+129181488+1609720+1700000+820000+20000000+16000000+8000000+2700000+2000000</f>
        <v>290244868</v>
      </c>
      <c r="D40" s="6">
        <f>53489420+12643200+38313040+2788000+1000000+139545832+1609720+1700000+820000+22000000+16000000+8000000+2700000+2000000</f>
        <v>302609212</v>
      </c>
      <c r="E40" s="6">
        <f t="shared" si="0"/>
        <v>12364344</v>
      </c>
      <c r="F40" s="7">
        <f t="shared" si="1"/>
        <v>4.2599698954883844E-2</v>
      </c>
      <c r="G40" s="8">
        <v>29.47</v>
      </c>
      <c r="H40" s="10">
        <v>14.24</v>
      </c>
      <c r="I40" s="9">
        <v>24.87</v>
      </c>
      <c r="J40" s="6">
        <f>C40*G40</f>
        <v>8553516259.96</v>
      </c>
      <c r="K40" s="6">
        <f>D40*H40</f>
        <v>4309155178.8800001</v>
      </c>
      <c r="L40" s="6">
        <f>I40*D40</f>
        <v>7525891102.4400005</v>
      </c>
      <c r="M40" s="7">
        <f t="shared" si="2"/>
        <v>0.7464887640449438</v>
      </c>
    </row>
    <row r="41" spans="1:14">
      <c r="A41" s="5" t="s">
        <v>42</v>
      </c>
      <c r="B41" s="5" t="s">
        <v>78</v>
      </c>
      <c r="C41" s="6">
        <v>4777300</v>
      </c>
      <c r="D41" s="6">
        <v>4777300</v>
      </c>
      <c r="E41" s="6">
        <f t="shared" si="0"/>
        <v>0</v>
      </c>
      <c r="F41" s="7">
        <f t="shared" si="1"/>
        <v>0</v>
      </c>
      <c r="G41" s="8">
        <v>42.13</v>
      </c>
      <c r="H41" s="10">
        <v>37.97</v>
      </c>
      <c r="I41" s="9">
        <v>46.88</v>
      </c>
      <c r="J41" s="6">
        <f>C41*G41</f>
        <v>201267649</v>
      </c>
      <c r="K41" s="6">
        <f>D41*H41</f>
        <v>181394081</v>
      </c>
      <c r="L41" s="6">
        <f>I41*D41</f>
        <v>223959824</v>
      </c>
      <c r="M41" s="7">
        <f t="shared" si="2"/>
        <v>0.23465894126942333</v>
      </c>
    </row>
    <row r="42" spans="1:14">
      <c r="A42" s="5" t="s">
        <v>43</v>
      </c>
      <c r="B42" s="5" t="s">
        <v>79</v>
      </c>
      <c r="C42" s="6">
        <v>5703087</v>
      </c>
      <c r="D42" s="6">
        <v>5703087</v>
      </c>
      <c r="E42" s="6">
        <f t="shared" si="0"/>
        <v>0</v>
      </c>
      <c r="F42" s="7">
        <f t="shared" si="1"/>
        <v>0</v>
      </c>
      <c r="G42" s="8">
        <v>287.89999999999998</v>
      </c>
      <c r="H42" s="10">
        <v>276</v>
      </c>
      <c r="I42" s="9">
        <v>293</v>
      </c>
      <c r="J42" s="6">
        <f>C42*G42</f>
        <v>1641918747.3</v>
      </c>
      <c r="K42" s="6">
        <f>D42*H42</f>
        <v>1574052012</v>
      </c>
      <c r="L42" s="6">
        <f>I42*D42</f>
        <v>1671004491</v>
      </c>
      <c r="M42" s="7">
        <f t="shared" si="2"/>
        <v>6.1594202898550776E-2</v>
      </c>
    </row>
    <row r="44" spans="1:14">
      <c r="A44" s="11" t="s">
        <v>80</v>
      </c>
      <c r="B44" s="11"/>
      <c r="C44" s="12"/>
      <c r="D44" s="12"/>
      <c r="E44" s="12"/>
      <c r="F44" s="12"/>
      <c r="G44" s="13"/>
      <c r="H44" s="13"/>
      <c r="I44" s="13"/>
      <c r="J44" s="12">
        <f>SUM(J2:J42)</f>
        <v>51869125417.93</v>
      </c>
      <c r="K44" s="12">
        <f>SUM(K2:K42)</f>
        <v>40871506504.149994</v>
      </c>
      <c r="L44" s="12">
        <f>SUM(L2:L42)</f>
        <v>48565396950.400002</v>
      </c>
      <c r="M44" s="7">
        <f t="shared" si="2"/>
        <v>0.18824582464237749</v>
      </c>
    </row>
    <row r="46" spans="1:14" s="17" customFormat="1" ht="12">
      <c r="A46" s="17" t="s">
        <v>97</v>
      </c>
      <c r="C46" s="18"/>
      <c r="D46" s="18"/>
      <c r="E46" s="18"/>
      <c r="F46" s="18"/>
      <c r="G46" s="19"/>
      <c r="H46" s="19"/>
      <c r="I46" s="19"/>
      <c r="J46" s="18"/>
      <c r="K46" s="18"/>
      <c r="L46" s="18"/>
      <c r="M46" s="20"/>
      <c r="N46" s="18"/>
    </row>
    <row r="47" spans="1:14" s="17" customFormat="1" ht="12">
      <c r="A47" s="17" t="s">
        <v>98</v>
      </c>
      <c r="C47" s="18"/>
      <c r="D47" s="18"/>
      <c r="E47" s="18"/>
      <c r="F47" s="18"/>
      <c r="G47" s="19"/>
      <c r="H47" s="19"/>
      <c r="I47" s="19"/>
      <c r="J47" s="18"/>
      <c r="K47" s="18"/>
      <c r="L47" s="18"/>
      <c r="M47" s="20"/>
      <c r="N47" s="18"/>
    </row>
    <row r="48" spans="1:14" s="17" customFormat="1" ht="12">
      <c r="A48" s="17" t="s">
        <v>99</v>
      </c>
      <c r="C48" s="18"/>
      <c r="D48" s="18"/>
      <c r="E48" s="18"/>
      <c r="F48" s="18"/>
      <c r="G48" s="19"/>
      <c r="H48" s="19"/>
      <c r="I48" s="19"/>
      <c r="J48" s="18"/>
      <c r="K48" s="18"/>
      <c r="L48" s="18"/>
      <c r="M48" s="20"/>
      <c r="N48" s="18"/>
    </row>
    <row r="49" spans="1:14" s="17" customFormat="1" ht="12">
      <c r="A49" s="17" t="s">
        <v>95</v>
      </c>
      <c r="C49" s="18"/>
      <c r="D49" s="18"/>
      <c r="E49" s="18"/>
      <c r="F49" s="18"/>
      <c r="G49" s="19"/>
      <c r="H49" s="19"/>
      <c r="I49" s="19"/>
      <c r="J49" s="18"/>
      <c r="K49" s="18"/>
      <c r="L49" s="18"/>
      <c r="M49" s="20"/>
      <c r="N49" s="18"/>
    </row>
  </sheetData>
  <phoneticPr fontId="2" type="noConversion"/>
  <printOptions gridLines="1"/>
  <pageMargins left="0.7" right="0.7" top="0.75" bottom="0.75" header="0.3" footer="0.3"/>
  <pageSetup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Berkshire Hathaway Holdings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Ravi</cp:lastModifiedBy>
  <cp:lastPrinted>2009-05-16T01:04:27Z</cp:lastPrinted>
  <dcterms:created xsi:type="dcterms:W3CDTF">2009-02-27T16:02:25Z</dcterms:created>
  <dcterms:modified xsi:type="dcterms:W3CDTF">2009-05-16T01:06:34Z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mbedSmartTagsHasBeenSet">
    <vt:i4>1</vt:i4>
  </property>
</Properties>
</file>